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760" activeTab="0"/>
  </bookViews>
  <sheets>
    <sheet name="Sheet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<sst xmlns="http://schemas.openxmlformats.org/spreadsheetml/2006/main" count="148" uniqueCount="118">
  <si>
    <t>Year</t>
  </si>
  <si>
    <t>Income statement</t>
  </si>
  <si>
    <t>Sales</t>
  </si>
  <si>
    <t>Interest expenses</t>
  </si>
  <si>
    <t>Interest earned</t>
  </si>
  <si>
    <t>Depreciation</t>
  </si>
  <si>
    <t>Profit before taxes</t>
  </si>
  <si>
    <t>Income taxes</t>
  </si>
  <si>
    <t>Net profit</t>
  </si>
  <si>
    <t>Dividends</t>
  </si>
  <si>
    <t>Retained profits</t>
  </si>
  <si>
    <t>Balance sheet</t>
  </si>
  <si>
    <t>Fixed assets</t>
  </si>
  <si>
    <t xml:space="preserve">   At cost</t>
  </si>
  <si>
    <t xml:space="preserve">   Depreciation</t>
  </si>
  <si>
    <t xml:space="preserve">   Net fixed assets</t>
  </si>
  <si>
    <t>Total assets</t>
  </si>
  <si>
    <t>Debt</t>
  </si>
  <si>
    <t>Accumulated retained profit</t>
  </si>
  <si>
    <t>Total liabilities and equity</t>
  </si>
  <si>
    <t>Equity capital</t>
  </si>
  <si>
    <t>Sales growth</t>
  </si>
  <si>
    <t>Operational assets</t>
  </si>
  <si>
    <t>Operational liabilities</t>
  </si>
  <si>
    <t>Other current assets</t>
  </si>
  <si>
    <t>Depreciation rate</t>
  </si>
  <si>
    <t>Interest rate on debt</t>
  </si>
  <si>
    <t>Income tax rate</t>
  </si>
  <si>
    <t>Dividend pay out ratio</t>
  </si>
  <si>
    <t>Debt Schedule Payment</t>
  </si>
  <si>
    <t>New Loans</t>
  </si>
  <si>
    <t>Cash</t>
  </si>
  <si>
    <t>Marketable securities</t>
  </si>
  <si>
    <t>Minimum cash to sales</t>
  </si>
  <si>
    <t>Operational profit</t>
  </si>
  <si>
    <t>Income taxes on operational profit</t>
  </si>
  <si>
    <t>SETTING UP A SIMPLIFIED FINANCIAL STATEMENT MODEL</t>
  </si>
  <si>
    <t>NOPAT</t>
  </si>
  <si>
    <t>WCR</t>
  </si>
  <si>
    <t>Variance in WCR</t>
  </si>
  <si>
    <t>CAPEX</t>
  </si>
  <si>
    <t>Add back depreciation</t>
  </si>
  <si>
    <t>Subtract increase in operational assets</t>
  </si>
  <si>
    <t>Add back increase in operational liabilities</t>
  </si>
  <si>
    <t>Subtract CAPEX</t>
  </si>
  <si>
    <t>Add back after tax interest on debt</t>
  </si>
  <si>
    <t>Subtract after-tax interest on securities</t>
  </si>
  <si>
    <t>Free cash flow to the firm</t>
  </si>
  <si>
    <t>CASH FLOW STATEMENT</t>
  </si>
  <si>
    <t>Cash flow from operating activities</t>
  </si>
  <si>
    <t>Adjust to changes in WCR:</t>
  </si>
  <si>
    <t>Net cash from operating activities</t>
  </si>
  <si>
    <t>Cash flow from investing activities</t>
  </si>
  <si>
    <t>Acquisitions of fixed assets (i.e. CAPEX)</t>
  </si>
  <si>
    <t>Purchases of investment securities</t>
  </si>
  <si>
    <t>Proceeds from sales of investment securities</t>
  </si>
  <si>
    <t>Net cash used in investing activities</t>
  </si>
  <si>
    <t>Not in de model</t>
  </si>
  <si>
    <t>Cummulated depreciations of fixed assets disposals</t>
  </si>
  <si>
    <t>Proceeds from disposal of fixed assets</t>
  </si>
  <si>
    <t>Not in the model</t>
  </si>
  <si>
    <t>Other currents assets</t>
  </si>
  <si>
    <t>Other currents liabilities</t>
  </si>
  <si>
    <t>Other current liabilities</t>
  </si>
  <si>
    <t>Net proceeds from borrowing</t>
  </si>
  <si>
    <t>New issues</t>
  </si>
  <si>
    <t>Net proceeds from new issues</t>
  </si>
  <si>
    <t>Disposals of fixed assets</t>
  </si>
  <si>
    <t>Net proceeds from new issues, repurchases</t>
  </si>
  <si>
    <t>Repurchases of shares</t>
  </si>
  <si>
    <t>Dividends paid</t>
  </si>
  <si>
    <t>Net cash from financing activities</t>
  </si>
  <si>
    <t>We assume the dividends are paid immediately</t>
  </si>
  <si>
    <t>Net increase in cash and equivalents</t>
  </si>
  <si>
    <t>VALUING THE FIRM AND THE EQUITY USING WACC METHOD</t>
  </si>
  <si>
    <t>WACC</t>
  </si>
  <si>
    <t>Assumptions:</t>
  </si>
  <si>
    <t>Long-term growth</t>
  </si>
  <si>
    <t>Real growth</t>
  </si>
  <si>
    <t>Inflation rate</t>
  </si>
  <si>
    <t>Long-term free cash flow to the firm growth rate:</t>
  </si>
  <si>
    <t>Operational free cash flow or Free cash flow to the firm</t>
  </si>
  <si>
    <t>Valuation:</t>
  </si>
  <si>
    <t>PV of the cash flow in the explicit period</t>
  </si>
  <si>
    <t>PV of TV</t>
  </si>
  <si>
    <t>Terminal value (TV)</t>
  </si>
  <si>
    <t>Enterprise value</t>
  </si>
  <si>
    <t>Asset value at year 0</t>
  </si>
  <si>
    <t xml:space="preserve">Subtract debt </t>
  </si>
  <si>
    <t>Subtract other current liabilities</t>
  </si>
  <si>
    <t>Equity value</t>
  </si>
  <si>
    <t>Assets:</t>
  </si>
  <si>
    <t>Liabilities and Equity:</t>
  </si>
  <si>
    <t>Add initial marketable securities</t>
  </si>
  <si>
    <t>Add other current assets</t>
  </si>
  <si>
    <t>Not in the model. Assumption that has to be paid similarly to debt.</t>
  </si>
  <si>
    <t>Check: Against changes in cash and maketable securities</t>
  </si>
  <si>
    <t>Interest rate earned on marketable securities</t>
  </si>
  <si>
    <t>Years</t>
  </si>
  <si>
    <t>Notes</t>
  </si>
  <si>
    <t>Free cash flow to the firm (alternative way)</t>
  </si>
  <si>
    <t>Forecast</t>
  </si>
  <si>
    <t>Additional Debt</t>
  </si>
  <si>
    <t>Check:Assets-(Equity and Liabilities)</t>
  </si>
  <si>
    <t>In this model "Marketable Securities" work as a "Plug" because excess of cash</t>
  </si>
  <si>
    <t xml:space="preserve">Not in the model. "Additional Debt" is used as a "plug" if there is financial requirements </t>
  </si>
  <si>
    <t>Assumption: Markt. securities is not needed to produce the FCFF, but minimum cash is</t>
  </si>
  <si>
    <t>Not in the model. It is added back assuming it not needed to produce the FCFF and can be cash in in future</t>
  </si>
  <si>
    <t>Operational assets to Sales</t>
  </si>
  <si>
    <t>Operational liabilities to Sales</t>
  </si>
  <si>
    <t>For income statement:</t>
  </si>
  <si>
    <t>For balance sheet:</t>
  </si>
  <si>
    <t>Operational expenses to Sales</t>
  </si>
  <si>
    <t>Operational expenses</t>
  </si>
  <si>
    <t>Cash flow from financing activities</t>
  </si>
  <si>
    <t>Other non-operational fixed assets</t>
  </si>
  <si>
    <t>Subtract other long term liabilities</t>
  </si>
  <si>
    <t>Assumptions for the valuation model:</t>
  </si>
</sst>
</file>

<file path=xl/styles.xml><?xml version="1.0" encoding="utf-8"?>
<styleSheet xmlns="http://schemas.openxmlformats.org/spreadsheetml/2006/main">
  <numFmts count="14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\ _€_ ;_ * \(#,##0\)\ _€_ ;_ * &quot;-&quot;_)\ _€_ ;_ @_ "/>
    <numFmt numFmtId="44" formatCode="_ * #,##0.00_)\ &quot;€&quot;_ ;_ * \(#,##0.00\)\ &quot;€&quot;_ ;_ * &quot;-&quot;??_)\ &quot;€&quot;_ ;_ @_ "/>
    <numFmt numFmtId="43" formatCode="_ * #,##0.00_)\ _€_ ;_ * \(#,##0.00\)\ _€_ ;_ * &quot;-&quot;??_)\ _€_ ;_ @_ "/>
    <numFmt numFmtId="164" formatCode="#,##0_);\(#,##0\)"/>
    <numFmt numFmtId="165" formatCode="0.0%"/>
    <numFmt numFmtId="166" formatCode="0.0"/>
    <numFmt numFmtId="167" formatCode="0.00_);\(0.00\)"/>
    <numFmt numFmtId="168" formatCode="0.0_);\(0.0\)"/>
    <numFmt numFmtId="169" formatCode="0_);\(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30"/>
      <name val="Calibri"/>
      <family val="2"/>
    </font>
    <font>
      <b/>
      <sz val="14"/>
      <color indexed="8"/>
      <name val="Calibri"/>
      <family val="2"/>
    </font>
    <font>
      <i/>
      <sz val="11"/>
      <color indexed="8"/>
      <name val="Calibri"/>
      <family val="2"/>
    </font>
    <font>
      <i/>
      <sz val="11"/>
      <color indexed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70C0"/>
      <name val="Calibri"/>
      <family val="2"/>
    </font>
    <font>
      <b/>
      <sz val="14"/>
      <color theme="1"/>
      <name val="Calibri"/>
      <family val="2"/>
    </font>
    <font>
      <i/>
      <sz val="11"/>
      <color theme="1"/>
      <name val="Calibri"/>
      <family val="2"/>
    </font>
    <font>
      <i/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0" xfId="0" applyAlignment="1">
      <alignment horizontal="right"/>
    </xf>
    <xf numFmtId="164" fontId="0" fillId="0" borderId="0" xfId="0" applyNumberFormat="1" applyAlignment="1">
      <alignment/>
    </xf>
    <xf numFmtId="0" fontId="18" fillId="0" borderId="0" xfId="0" applyFont="1" applyAlignment="1">
      <alignment/>
    </xf>
    <xf numFmtId="0" fontId="41" fillId="0" borderId="10" xfId="0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/>
    </xf>
    <xf numFmtId="9" fontId="43" fillId="0" borderId="10" xfId="57" applyFont="1" applyBorder="1" applyAlignment="1">
      <alignment horizontal="right"/>
    </xf>
    <xf numFmtId="0" fontId="0" fillId="0" borderId="11" xfId="0" applyBorder="1" applyAlignment="1">
      <alignment/>
    </xf>
    <xf numFmtId="0" fontId="18" fillId="0" borderId="10" xfId="0" applyFont="1" applyBorder="1" applyAlignment="1">
      <alignment/>
    </xf>
    <xf numFmtId="164" fontId="43" fillId="0" borderId="10" xfId="0" applyNumberFormat="1" applyFont="1" applyBorder="1" applyAlignment="1">
      <alignment horizontal="right"/>
    </xf>
    <xf numFmtId="0" fontId="41" fillId="0" borderId="10" xfId="0" applyFont="1" applyBorder="1" applyAlignment="1">
      <alignment horizontal="right"/>
    </xf>
    <xf numFmtId="0" fontId="0" fillId="33" borderId="0" xfId="0" applyFill="1" applyAlignment="1">
      <alignment/>
    </xf>
    <xf numFmtId="164" fontId="41" fillId="0" borderId="10" xfId="0" applyNumberFormat="1" applyFon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0" fontId="41" fillId="33" borderId="0" xfId="0" applyFont="1" applyFill="1" applyAlignment="1">
      <alignment/>
    </xf>
    <xf numFmtId="0" fontId="0" fillId="33" borderId="0" xfId="0" applyFill="1" applyAlignment="1">
      <alignment horizontal="right"/>
    </xf>
    <xf numFmtId="0" fontId="41" fillId="0" borderId="12" xfId="0" applyFont="1" applyFill="1" applyBorder="1" applyAlignment="1">
      <alignment/>
    </xf>
    <xf numFmtId="169" fontId="0" fillId="33" borderId="0" xfId="0" applyNumberFormat="1" applyFill="1" applyAlignment="1">
      <alignment/>
    </xf>
    <xf numFmtId="0" fontId="41" fillId="0" borderId="10" xfId="0" applyFont="1" applyBorder="1" applyAlignment="1">
      <alignment horizontal="left" indent="1"/>
    </xf>
    <xf numFmtId="164" fontId="0" fillId="0" borderId="10" xfId="0" applyNumberFormat="1" applyBorder="1" applyAlignment="1">
      <alignment/>
    </xf>
    <xf numFmtId="0" fontId="0" fillId="0" borderId="10" xfId="0" applyBorder="1" applyAlignment="1">
      <alignment horizontal="left" indent="1"/>
    </xf>
    <xf numFmtId="164" fontId="41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9" fontId="43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left" indent="1"/>
    </xf>
    <xf numFmtId="10" fontId="43" fillId="0" borderId="10" xfId="0" applyNumberFormat="1" applyFont="1" applyBorder="1" applyAlignment="1">
      <alignment horizontal="right"/>
    </xf>
    <xf numFmtId="10" fontId="0" fillId="0" borderId="10" xfId="0" applyNumberFormat="1" applyBorder="1" applyAlignment="1">
      <alignment horizontal="right"/>
    </xf>
    <xf numFmtId="0" fontId="0" fillId="0" borderId="10" xfId="0" applyFont="1" applyBorder="1" applyAlignment="1">
      <alignment horizontal="left"/>
    </xf>
    <xf numFmtId="0" fontId="41" fillId="0" borderId="10" xfId="0" applyFont="1" applyBorder="1" applyAlignment="1">
      <alignment horizontal="left"/>
    </xf>
    <xf numFmtId="164" fontId="43" fillId="34" borderId="10" xfId="0" applyNumberFormat="1" applyFont="1" applyFill="1" applyBorder="1" applyAlignment="1">
      <alignment horizontal="right"/>
    </xf>
    <xf numFmtId="164" fontId="44" fillId="0" borderId="0" xfId="0" applyNumberFormat="1" applyFont="1" applyBorder="1" applyAlignment="1">
      <alignment horizontal="left"/>
    </xf>
    <xf numFmtId="164" fontId="41" fillId="0" borderId="13" xfId="0" applyNumberFormat="1" applyFont="1" applyBorder="1" applyAlignment="1">
      <alignment/>
    </xf>
    <xf numFmtId="169" fontId="45" fillId="33" borderId="0" xfId="0" applyNumberFormat="1" applyFont="1" applyFill="1" applyAlignment="1">
      <alignment/>
    </xf>
    <xf numFmtId="0" fontId="46" fillId="33" borderId="0" xfId="0" applyFont="1" applyFill="1" applyAlignment="1">
      <alignment/>
    </xf>
    <xf numFmtId="169" fontId="46" fillId="33" borderId="0" xfId="0" applyNumberFormat="1" applyFont="1" applyFill="1" applyAlignment="1">
      <alignment/>
    </xf>
    <xf numFmtId="164" fontId="18" fillId="34" borderId="10" xfId="57" applyNumberFormat="1" applyFont="1" applyFill="1" applyBorder="1" applyAlignment="1">
      <alignment horizontal="right"/>
    </xf>
    <xf numFmtId="0" fontId="47" fillId="0" borderId="0" xfId="0" applyFont="1" applyAlignment="1">
      <alignment/>
    </xf>
    <xf numFmtId="0" fontId="24" fillId="0" borderId="0" xfId="0" applyFont="1" applyAlignment="1">
      <alignment/>
    </xf>
    <xf numFmtId="0" fontId="48" fillId="0" borderId="0" xfId="0" applyFont="1" applyAlignment="1">
      <alignment/>
    </xf>
    <xf numFmtId="169" fontId="47" fillId="33" borderId="0" xfId="0" applyNumberFormat="1" applyFont="1" applyFill="1" applyAlignment="1">
      <alignment/>
    </xf>
    <xf numFmtId="164" fontId="0" fillId="34" borderId="10" xfId="0" applyNumberFormat="1" applyFill="1" applyBorder="1" applyAlignment="1">
      <alignment/>
    </xf>
    <xf numFmtId="0" fontId="48" fillId="0" borderId="0" xfId="0" applyFont="1" applyAlignment="1">
      <alignment horizontal="left"/>
    </xf>
    <xf numFmtId="164" fontId="43" fillId="34" borderId="10" xfId="57" applyNumberFormat="1" applyFont="1" applyFill="1" applyBorder="1" applyAlignment="1">
      <alignment horizontal="right"/>
    </xf>
    <xf numFmtId="9" fontId="0" fillId="0" borderId="10" xfId="57" applyFont="1" applyBorder="1" applyAlignment="1">
      <alignment horizontal="right"/>
    </xf>
    <xf numFmtId="165" fontId="0" fillId="0" borderId="10" xfId="57" applyNumberFormat="1" applyFont="1" applyBorder="1" applyAlignment="1">
      <alignment horizontal="right"/>
    </xf>
    <xf numFmtId="164" fontId="41" fillId="0" borderId="0" xfId="0" applyNumberFormat="1" applyFont="1" applyBorder="1" applyAlignment="1">
      <alignment horizontal="right"/>
    </xf>
    <xf numFmtId="165" fontId="43" fillId="0" borderId="10" xfId="57" applyNumberFormat="1" applyFont="1" applyBorder="1" applyAlignment="1">
      <alignment horizontal="right"/>
    </xf>
    <xf numFmtId="165" fontId="0" fillId="33" borderId="0" xfId="0" applyNumberFormat="1" applyFill="1" applyAlignment="1">
      <alignment/>
    </xf>
    <xf numFmtId="165" fontId="43" fillId="0" borderId="11" xfId="57" applyNumberFormat="1" applyFont="1" applyBorder="1" applyAlignment="1">
      <alignment horizontal="right"/>
    </xf>
    <xf numFmtId="164" fontId="0" fillId="33" borderId="0" xfId="0" applyNumberFormat="1" applyFill="1" applyAlignment="1">
      <alignment/>
    </xf>
    <xf numFmtId="165" fontId="0" fillId="33" borderId="0" xfId="57" applyNumberFormat="1" applyFont="1" applyFill="1" applyAlignment="1">
      <alignment/>
    </xf>
    <xf numFmtId="0" fontId="26" fillId="33" borderId="14" xfId="0" applyFont="1" applyFill="1" applyBorder="1" applyAlignment="1">
      <alignment horizontal="center"/>
    </xf>
    <xf numFmtId="0" fontId="26" fillId="33" borderId="15" xfId="0" applyFont="1" applyFill="1" applyBorder="1" applyAlignment="1">
      <alignment horizontal="center"/>
    </xf>
    <xf numFmtId="0" fontId="26" fillId="33" borderId="16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5"/>
  <sheetViews>
    <sheetView tabSelected="1" zoomScale="156" zoomScaleNormal="156" zoomScalePageLayoutView="0" workbookViewId="0" topLeftCell="A1">
      <selection activeCell="A118" sqref="A118:IV123"/>
    </sheetView>
  </sheetViews>
  <sheetFormatPr defaultColWidth="9.140625" defaultRowHeight="15"/>
  <cols>
    <col min="1" max="1" width="52.28125" style="0" customWidth="1"/>
    <col min="2" max="2" width="8.7109375" style="2" customWidth="1"/>
    <col min="8" max="8" width="8.57421875" style="0" customWidth="1"/>
    <col min="9" max="9" width="79.57421875" style="38" customWidth="1"/>
  </cols>
  <sheetData>
    <row r="1" spans="1:8" ht="14.25">
      <c r="A1" s="16" t="s">
        <v>36</v>
      </c>
      <c r="B1" s="17"/>
      <c r="C1" s="13"/>
      <c r="D1" s="13"/>
      <c r="E1" s="13"/>
      <c r="F1" s="13"/>
      <c r="G1" s="13"/>
      <c r="H1" s="13"/>
    </row>
    <row r="2" spans="1:8" ht="18">
      <c r="A2" s="32" t="s">
        <v>76</v>
      </c>
      <c r="B2" s="13"/>
      <c r="C2" s="13"/>
      <c r="D2" s="13"/>
      <c r="E2" s="13"/>
      <c r="F2" s="13"/>
      <c r="G2" s="13"/>
      <c r="H2" s="13"/>
    </row>
    <row r="3" spans="1:9" ht="14.25">
      <c r="A3" s="5" t="s">
        <v>98</v>
      </c>
      <c r="B3" s="14"/>
      <c r="C3" s="14">
        <v>1</v>
      </c>
      <c r="D3" s="14">
        <v>2</v>
      </c>
      <c r="E3" s="14">
        <v>3</v>
      </c>
      <c r="F3" s="14">
        <v>4</v>
      </c>
      <c r="G3" s="14">
        <v>5</v>
      </c>
      <c r="H3" s="13"/>
      <c r="I3" s="43" t="s">
        <v>99</v>
      </c>
    </row>
    <row r="4" spans="1:9" ht="14.25">
      <c r="A4" s="5" t="s">
        <v>110</v>
      </c>
      <c r="B4" s="14"/>
      <c r="C4" s="14"/>
      <c r="D4" s="47"/>
      <c r="E4" s="47"/>
      <c r="F4" s="47"/>
      <c r="G4" s="47"/>
      <c r="H4" s="13"/>
      <c r="I4" s="43"/>
    </row>
    <row r="5" spans="1:8" ht="14.25">
      <c r="A5" s="7" t="s">
        <v>21</v>
      </c>
      <c r="B5" s="6"/>
      <c r="C5" s="48">
        <v>0.05</v>
      </c>
      <c r="D5" s="49"/>
      <c r="E5" s="49"/>
      <c r="F5" s="49"/>
      <c r="G5" s="49"/>
      <c r="H5" s="13"/>
    </row>
    <row r="6" spans="1:8" ht="14.25">
      <c r="A6" s="7" t="s">
        <v>112</v>
      </c>
      <c r="B6" s="45">
        <f>-B39/B38</f>
        <v>0.65</v>
      </c>
      <c r="C6" s="48">
        <v>0.65</v>
      </c>
      <c r="D6" s="49"/>
      <c r="E6" s="49"/>
      <c r="F6" s="49"/>
      <c r="G6" s="49"/>
      <c r="H6" s="13"/>
    </row>
    <row r="7" spans="1:8" ht="14.25">
      <c r="A7" s="7" t="s">
        <v>25</v>
      </c>
      <c r="B7" s="46">
        <f>-B40/B54</f>
        <v>0.09596928982725528</v>
      </c>
      <c r="C7" s="48">
        <v>0.1</v>
      </c>
      <c r="D7" s="49"/>
      <c r="E7" s="49"/>
      <c r="F7" s="49"/>
      <c r="G7" s="49"/>
      <c r="H7" s="13"/>
    </row>
    <row r="8" spans="1:8" ht="14.25">
      <c r="A8" s="7" t="s">
        <v>26</v>
      </c>
      <c r="B8" s="46">
        <f>-B42/(B65+B66)</f>
        <v>0.040625</v>
      </c>
      <c r="C8" s="48">
        <v>0.04</v>
      </c>
      <c r="D8" s="49"/>
      <c r="E8" s="49"/>
      <c r="F8" s="49"/>
      <c r="G8" s="49"/>
      <c r="H8" s="13"/>
    </row>
    <row r="9" spans="1:8" ht="14.25">
      <c r="A9" s="7" t="s">
        <v>97</v>
      </c>
      <c r="B9" s="46">
        <f>+B43/B59</f>
        <v>0.018518518518518517</v>
      </c>
      <c r="C9" s="48">
        <v>0.02</v>
      </c>
      <c r="D9" s="49"/>
      <c r="E9" s="49"/>
      <c r="F9" s="49"/>
      <c r="G9" s="49"/>
      <c r="H9" s="13"/>
    </row>
    <row r="10" spans="1:8" ht="14.25">
      <c r="A10" s="7" t="s">
        <v>27</v>
      </c>
      <c r="B10" s="46">
        <f>-B45/B44</f>
        <v>0.25210084033613445</v>
      </c>
      <c r="C10" s="48">
        <v>0.25</v>
      </c>
      <c r="D10" s="49"/>
      <c r="E10" s="49"/>
      <c r="F10" s="49"/>
      <c r="G10" s="49"/>
      <c r="H10" s="13"/>
    </row>
    <row r="11" spans="1:8" ht="14.25">
      <c r="A11" s="7" t="s">
        <v>28</v>
      </c>
      <c r="B11" s="46">
        <f>-B47/B46</f>
        <v>0.4044943820224719</v>
      </c>
      <c r="C11" s="48">
        <v>0.4</v>
      </c>
      <c r="D11" s="49"/>
      <c r="E11" s="49"/>
      <c r="F11" s="49"/>
      <c r="G11" s="49"/>
      <c r="H11" s="13"/>
    </row>
    <row r="12" spans="1:8" ht="14.25">
      <c r="A12" s="5" t="s">
        <v>111</v>
      </c>
      <c r="B12" s="6"/>
      <c r="C12" s="8"/>
      <c r="D12" s="13"/>
      <c r="E12" s="13"/>
      <c r="F12" s="13"/>
      <c r="G12" s="13"/>
      <c r="H12" s="13"/>
    </row>
    <row r="13" spans="1:8" ht="14.25">
      <c r="A13" s="7" t="s">
        <v>108</v>
      </c>
      <c r="B13" s="46">
        <f>+B57/B38</f>
        <v>0.15</v>
      </c>
      <c r="C13" s="48">
        <v>0.15</v>
      </c>
      <c r="D13" s="13"/>
      <c r="E13" s="13"/>
      <c r="F13" s="13"/>
      <c r="G13" s="13"/>
      <c r="H13" s="13"/>
    </row>
    <row r="14" spans="1:8" ht="14.25">
      <c r="A14" s="7" t="s">
        <v>109</v>
      </c>
      <c r="B14" s="46">
        <f>+B63/B38</f>
        <v>0.08</v>
      </c>
      <c r="C14" s="48">
        <v>0.08</v>
      </c>
      <c r="D14" s="13"/>
      <c r="E14" s="13"/>
      <c r="F14" s="13"/>
      <c r="G14" s="13"/>
      <c r="H14" s="13"/>
    </row>
    <row r="15" spans="1:8" ht="14.25">
      <c r="A15" s="9" t="s">
        <v>33</v>
      </c>
      <c r="B15" s="46">
        <f>+B60/B38</f>
        <v>0.01</v>
      </c>
      <c r="C15" s="50">
        <v>0.01</v>
      </c>
      <c r="D15" s="13"/>
      <c r="E15" s="13"/>
      <c r="F15" s="13"/>
      <c r="G15" s="13"/>
      <c r="H15" s="13"/>
    </row>
    <row r="16" spans="1:9" ht="14.25">
      <c r="A16" s="10" t="s">
        <v>61</v>
      </c>
      <c r="B16" s="37"/>
      <c r="C16" s="31"/>
      <c r="D16" s="31"/>
      <c r="E16" s="31"/>
      <c r="F16" s="31"/>
      <c r="G16" s="31"/>
      <c r="H16" s="13"/>
      <c r="I16" s="39" t="s">
        <v>60</v>
      </c>
    </row>
    <row r="17" spans="1:9" ht="14.25">
      <c r="A17" s="10" t="s">
        <v>62</v>
      </c>
      <c r="B17" s="37"/>
      <c r="C17" s="31"/>
      <c r="D17" s="31"/>
      <c r="E17" s="31"/>
      <c r="F17" s="31"/>
      <c r="G17" s="31"/>
      <c r="H17" s="13"/>
      <c r="I17" s="39" t="s">
        <v>60</v>
      </c>
    </row>
    <row r="18" spans="1:8" ht="14.25">
      <c r="A18" s="7" t="s">
        <v>29</v>
      </c>
      <c r="B18" s="6"/>
      <c r="C18" s="11">
        <v>20</v>
      </c>
      <c r="D18" s="11">
        <v>20</v>
      </c>
      <c r="E18" s="11">
        <v>20</v>
      </c>
      <c r="F18" s="11">
        <v>20</v>
      </c>
      <c r="G18" s="11">
        <v>20</v>
      </c>
      <c r="H18" s="13"/>
    </row>
    <row r="19" spans="1:8" ht="14.25">
      <c r="A19" s="7" t="s">
        <v>30</v>
      </c>
      <c r="B19" s="6"/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3"/>
    </row>
    <row r="20" spans="1:8" ht="14.25">
      <c r="A20" s="7" t="s">
        <v>53</v>
      </c>
      <c r="B20" s="6"/>
      <c r="C20" s="11">
        <v>200</v>
      </c>
      <c r="D20" s="11">
        <v>250</v>
      </c>
      <c r="E20" s="11">
        <v>260</v>
      </c>
      <c r="F20" s="11">
        <v>260</v>
      </c>
      <c r="G20" s="11">
        <v>260</v>
      </c>
      <c r="H20" s="13"/>
    </row>
    <row r="21" spans="1:10" ht="14.25">
      <c r="A21" s="10" t="s">
        <v>67</v>
      </c>
      <c r="B21" s="37"/>
      <c r="C21" s="37"/>
      <c r="D21" s="37"/>
      <c r="E21" s="37"/>
      <c r="F21" s="37"/>
      <c r="G21" s="37"/>
      <c r="H21" s="13"/>
      <c r="I21" s="39" t="s">
        <v>60</v>
      </c>
      <c r="J21" s="4"/>
    </row>
    <row r="22" spans="1:10" ht="14.25">
      <c r="A22" s="10" t="s">
        <v>58</v>
      </c>
      <c r="B22" s="37"/>
      <c r="C22" s="37"/>
      <c r="D22" s="37"/>
      <c r="E22" s="37"/>
      <c r="F22" s="37"/>
      <c r="G22" s="37"/>
      <c r="H22" s="13"/>
      <c r="I22" s="39" t="s">
        <v>60</v>
      </c>
      <c r="J22" s="4"/>
    </row>
    <row r="23" spans="1:10" ht="14.25">
      <c r="A23" s="10" t="s">
        <v>59</v>
      </c>
      <c r="B23" s="37"/>
      <c r="C23" s="37"/>
      <c r="D23" s="37"/>
      <c r="E23" s="37"/>
      <c r="F23" s="37"/>
      <c r="G23" s="37"/>
      <c r="H23" s="13"/>
      <c r="I23" s="39" t="s">
        <v>60</v>
      </c>
      <c r="J23" s="4"/>
    </row>
    <row r="24" spans="1:10" ht="14.25">
      <c r="A24" s="10" t="s">
        <v>54</v>
      </c>
      <c r="B24" s="37"/>
      <c r="C24" s="37"/>
      <c r="D24" s="37"/>
      <c r="E24" s="37"/>
      <c r="F24" s="37"/>
      <c r="G24" s="37"/>
      <c r="H24" s="13"/>
      <c r="I24" s="39" t="s">
        <v>60</v>
      </c>
      <c r="J24" s="4"/>
    </row>
    <row r="25" spans="1:10" ht="14.25">
      <c r="A25" s="10" t="s">
        <v>55</v>
      </c>
      <c r="B25" s="37"/>
      <c r="C25" s="37"/>
      <c r="D25" s="37"/>
      <c r="E25" s="37"/>
      <c r="F25" s="37"/>
      <c r="G25" s="37"/>
      <c r="H25" s="13"/>
      <c r="I25" s="39" t="s">
        <v>60</v>
      </c>
      <c r="J25" s="4"/>
    </row>
    <row r="26" spans="1:10" ht="14.25">
      <c r="A26" s="10" t="s">
        <v>65</v>
      </c>
      <c r="B26" s="37"/>
      <c r="C26" s="37"/>
      <c r="D26" s="37"/>
      <c r="E26" s="37"/>
      <c r="F26" s="37"/>
      <c r="G26" s="37"/>
      <c r="H26" s="13"/>
      <c r="I26" s="39" t="s">
        <v>60</v>
      </c>
      <c r="J26" s="4"/>
    </row>
    <row r="27" spans="1:10" ht="14.25">
      <c r="A27" s="10" t="s">
        <v>66</v>
      </c>
      <c r="B27" s="37"/>
      <c r="C27" s="37"/>
      <c r="D27" s="37"/>
      <c r="E27" s="37"/>
      <c r="F27" s="37"/>
      <c r="G27" s="37"/>
      <c r="H27" s="13"/>
      <c r="I27" s="39" t="s">
        <v>60</v>
      </c>
      <c r="J27" s="4"/>
    </row>
    <row r="28" spans="1:10" ht="14.25">
      <c r="A28" s="10" t="s">
        <v>69</v>
      </c>
      <c r="B28" s="37"/>
      <c r="C28" s="37"/>
      <c r="D28" s="37"/>
      <c r="E28" s="37"/>
      <c r="F28" s="37"/>
      <c r="G28" s="37"/>
      <c r="H28" s="13"/>
      <c r="I28" s="39" t="s">
        <v>60</v>
      </c>
      <c r="J28" s="4"/>
    </row>
    <row r="29" spans="1:10" ht="14.25">
      <c r="A29" s="5" t="s">
        <v>117</v>
      </c>
      <c r="B29" s="6"/>
      <c r="C29" s="13"/>
      <c r="D29" s="13"/>
      <c r="E29" s="13"/>
      <c r="F29" s="13"/>
      <c r="G29" s="13"/>
      <c r="H29" s="13"/>
      <c r="I29" s="39"/>
      <c r="J29" s="4"/>
    </row>
    <row r="30" spans="1:10" ht="14.25">
      <c r="A30" s="24" t="s">
        <v>75</v>
      </c>
      <c r="B30" s="25">
        <v>0.2</v>
      </c>
      <c r="C30" s="13"/>
      <c r="D30" s="13"/>
      <c r="E30" s="13"/>
      <c r="F30" s="13"/>
      <c r="G30" s="13"/>
      <c r="H30" s="13"/>
      <c r="I30" s="39"/>
      <c r="J30" s="4"/>
    </row>
    <row r="31" spans="1:10" ht="14.25">
      <c r="A31" s="24" t="s">
        <v>80</v>
      </c>
      <c r="B31" s="6"/>
      <c r="C31" s="13"/>
      <c r="D31" s="13"/>
      <c r="E31" s="13"/>
      <c r="F31" s="13"/>
      <c r="G31" s="13"/>
      <c r="H31" s="13"/>
      <c r="I31" s="39"/>
      <c r="J31" s="4"/>
    </row>
    <row r="32" spans="1:10" ht="14.25">
      <c r="A32" s="26" t="s">
        <v>78</v>
      </c>
      <c r="B32" s="27">
        <v>0.025</v>
      </c>
      <c r="C32" s="13"/>
      <c r="D32" s="13"/>
      <c r="E32" s="13"/>
      <c r="F32" s="13"/>
      <c r="G32" s="13"/>
      <c r="H32" s="13"/>
      <c r="I32" s="39"/>
      <c r="J32" s="4"/>
    </row>
    <row r="33" spans="1:10" ht="14.25">
      <c r="A33" s="26" t="s">
        <v>79</v>
      </c>
      <c r="B33" s="27">
        <v>0.02</v>
      </c>
      <c r="C33" s="13"/>
      <c r="D33" s="13"/>
      <c r="E33" s="13"/>
      <c r="F33" s="13"/>
      <c r="G33" s="13"/>
      <c r="H33" s="13"/>
      <c r="I33" s="39"/>
      <c r="J33" s="4"/>
    </row>
    <row r="34" spans="1:10" ht="14.25">
      <c r="A34" s="26" t="s">
        <v>77</v>
      </c>
      <c r="B34" s="28">
        <f>(1+B32)*(1+B33)-1</f>
        <v>0.045499999999999874</v>
      </c>
      <c r="C34" s="13"/>
      <c r="D34" s="13"/>
      <c r="E34" s="13"/>
      <c r="F34" s="13"/>
      <c r="G34" s="13"/>
      <c r="H34" s="13"/>
      <c r="I34" s="39"/>
      <c r="J34" s="4"/>
    </row>
    <row r="35" spans="1:8" ht="14.25">
      <c r="A35" s="13"/>
      <c r="B35" s="13"/>
      <c r="C35" s="13"/>
      <c r="D35" s="13"/>
      <c r="E35" s="13"/>
      <c r="F35" s="13"/>
      <c r="G35" s="13"/>
      <c r="H35" s="13"/>
    </row>
    <row r="36" spans="1:8" ht="18">
      <c r="A36" s="32" t="s">
        <v>1</v>
      </c>
      <c r="B36" s="13"/>
      <c r="C36" s="53" t="s">
        <v>101</v>
      </c>
      <c r="D36" s="54"/>
      <c r="E36" s="54"/>
      <c r="F36" s="54"/>
      <c r="G36" s="55"/>
      <c r="H36" s="13"/>
    </row>
    <row r="37" spans="1:8" ht="14.25">
      <c r="A37" s="5" t="s">
        <v>98</v>
      </c>
      <c r="B37" s="14">
        <v>0</v>
      </c>
      <c r="C37" s="14">
        <v>1</v>
      </c>
      <c r="D37" s="14">
        <v>2</v>
      </c>
      <c r="E37" s="14">
        <v>3</v>
      </c>
      <c r="F37" s="14">
        <v>4</v>
      </c>
      <c r="G37" s="14">
        <v>5</v>
      </c>
      <c r="H37" s="13"/>
    </row>
    <row r="38" spans="1:9" s="1" customFormat="1" ht="14.25">
      <c r="A38" s="5" t="s">
        <v>2</v>
      </c>
      <c r="B38" s="14">
        <v>1000</v>
      </c>
      <c r="C38" s="14">
        <f>+B38*(1+$C$5)</f>
        <v>1050</v>
      </c>
      <c r="D38" s="14">
        <f>+C38*(1+$C$5)</f>
        <v>1102.5</v>
      </c>
      <c r="E38" s="14">
        <f>+D38*(1+$C$5)</f>
        <v>1157.625</v>
      </c>
      <c r="F38" s="14">
        <f>+E38*(1+$C$5)</f>
        <v>1215.5062500000001</v>
      </c>
      <c r="G38" s="14">
        <f>+F38*(1+$C$5)</f>
        <v>1276.2815625000003</v>
      </c>
      <c r="H38" s="13"/>
      <c r="I38" s="40"/>
    </row>
    <row r="39" spans="1:8" ht="14.25">
      <c r="A39" s="7" t="s">
        <v>113</v>
      </c>
      <c r="B39" s="15">
        <v>-650</v>
      </c>
      <c r="C39" s="15">
        <f>-C38*$C$6</f>
        <v>-682.5</v>
      </c>
      <c r="D39" s="15">
        <f>-D38*$C$6</f>
        <v>-716.625</v>
      </c>
      <c r="E39" s="15">
        <f>-E38*$C$6</f>
        <v>-752.4562500000001</v>
      </c>
      <c r="F39" s="15">
        <f>-F38*$C$6</f>
        <v>-790.0790625000001</v>
      </c>
      <c r="G39" s="15">
        <f>-G38*$C$6</f>
        <v>-829.5830156250003</v>
      </c>
      <c r="H39" s="13"/>
    </row>
    <row r="40" spans="1:8" ht="14.25">
      <c r="A40" s="7" t="s">
        <v>5</v>
      </c>
      <c r="B40" s="15">
        <v>-100</v>
      </c>
      <c r="C40" s="15">
        <f>-(B54+C54)/2*$C$7</f>
        <v>-114.2</v>
      </c>
      <c r="D40" s="15">
        <f>-(C54+D54)/2*$C$7</f>
        <v>-136.70000000000002</v>
      </c>
      <c r="E40" s="15">
        <f>-(D54+E54)/2*$C$7</f>
        <v>-162.20000000000002</v>
      </c>
      <c r="F40" s="15">
        <f>-(E54+F54)/2*$C$7</f>
        <v>-188.20000000000002</v>
      </c>
      <c r="G40" s="15">
        <f>-(F54+G54)/2*$C$7</f>
        <v>-214.20000000000002</v>
      </c>
      <c r="H40" s="13"/>
    </row>
    <row r="41" spans="1:9" s="1" customFormat="1" ht="14.25">
      <c r="A41" s="5" t="s">
        <v>34</v>
      </c>
      <c r="B41" s="14">
        <f aca="true" t="shared" si="0" ref="B41:G41">SUM(B38:B40)</f>
        <v>250</v>
      </c>
      <c r="C41" s="14">
        <f t="shared" si="0"/>
        <v>253.3</v>
      </c>
      <c r="D41" s="14">
        <f t="shared" si="0"/>
        <v>249.17499999999998</v>
      </c>
      <c r="E41" s="14">
        <f t="shared" si="0"/>
        <v>242.96874999999991</v>
      </c>
      <c r="F41" s="14">
        <f t="shared" si="0"/>
        <v>237.22718750000004</v>
      </c>
      <c r="G41" s="14">
        <f t="shared" si="0"/>
        <v>232.49854687500002</v>
      </c>
      <c r="H41" s="13"/>
      <c r="I41" s="40"/>
    </row>
    <row r="42" spans="1:8" ht="14.25">
      <c r="A42" s="7" t="s">
        <v>3</v>
      </c>
      <c r="B42" s="15">
        <v>-13</v>
      </c>
      <c r="C42" s="15">
        <f>-(B65+C65+B66+C66)/4*$C$8</f>
        <v>-6.2</v>
      </c>
      <c r="D42" s="15">
        <f>-(C65+D65+C66+D66)/4*$C$8</f>
        <v>-5.8</v>
      </c>
      <c r="E42" s="15">
        <f>-(D65+E65+D66+E66)/4*$C$8</f>
        <v>-5.4</v>
      </c>
      <c r="F42" s="15">
        <f>-(E65+F65+E66+F66)/4*$C$8</f>
        <v>-5</v>
      </c>
      <c r="G42" s="15">
        <f>-(F65+G65+F66+G66)/4*$C$8</f>
        <v>-4.6000000000000005</v>
      </c>
      <c r="H42" s="13"/>
    </row>
    <row r="43" spans="1:8" ht="14.25">
      <c r="A43" s="7" t="s">
        <v>4</v>
      </c>
      <c r="B43" s="15">
        <v>1</v>
      </c>
      <c r="C43" s="15">
        <f>+$C$9*(B59+C59)/2</f>
        <v>1.09889502762431</v>
      </c>
      <c r="D43" s="15">
        <f>+$C$9*(C59+D59)/2</f>
        <v>0.8417654999986118</v>
      </c>
      <c r="E43" s="15">
        <f>+$C$9*(D59+E59)/2</f>
        <v>0.414565866146261</v>
      </c>
      <c r="F43" s="15">
        <f>+$C$9*(E59+F59)/2</f>
        <v>0.3456636175730003</v>
      </c>
      <c r="G43" s="15">
        <f>+$C$9*(F59+G59)/2</f>
        <v>0.7502357192763246</v>
      </c>
      <c r="H43" s="13"/>
    </row>
    <row r="44" spans="1:9" s="1" customFormat="1" ht="14.25">
      <c r="A44" s="5" t="s">
        <v>6</v>
      </c>
      <c r="B44" s="14">
        <f aca="true" t="shared" si="1" ref="B44:G44">SUM(B41:B43)</f>
        <v>238</v>
      </c>
      <c r="C44" s="14">
        <f t="shared" si="1"/>
        <v>248.19889502762433</v>
      </c>
      <c r="D44" s="14">
        <f t="shared" si="1"/>
        <v>244.2167654999986</v>
      </c>
      <c r="E44" s="14">
        <f t="shared" si="1"/>
        <v>237.98331586614617</v>
      </c>
      <c r="F44" s="14">
        <f t="shared" si="1"/>
        <v>232.57285111757304</v>
      </c>
      <c r="G44" s="14">
        <f t="shared" si="1"/>
        <v>228.64878259427635</v>
      </c>
      <c r="H44" s="13"/>
      <c r="I44" s="40"/>
    </row>
    <row r="45" spans="1:8" ht="14.25">
      <c r="A45" s="7" t="s">
        <v>7</v>
      </c>
      <c r="B45" s="15">
        <v>-60</v>
      </c>
      <c r="C45" s="15">
        <f>-$C$10*C44</f>
        <v>-62.04972375690608</v>
      </c>
      <c r="D45" s="15">
        <f>-$C$10*D44</f>
        <v>-61.05419137499965</v>
      </c>
      <c r="E45" s="15">
        <f>-$C$10*E44</f>
        <v>-59.49582896653654</v>
      </c>
      <c r="F45" s="15">
        <f>-$C$10*F44</f>
        <v>-58.14321277939326</v>
      </c>
      <c r="G45" s="15">
        <f>-$C$10*G44</f>
        <v>-57.16219564856909</v>
      </c>
      <c r="H45" s="13"/>
    </row>
    <row r="46" spans="1:9" s="1" customFormat="1" ht="14.25">
      <c r="A46" s="5" t="s">
        <v>8</v>
      </c>
      <c r="B46" s="14">
        <f aca="true" t="shared" si="2" ref="B46:G46">SUM(B44:B45)</f>
        <v>178</v>
      </c>
      <c r="C46" s="14">
        <f t="shared" si="2"/>
        <v>186.14917127071826</v>
      </c>
      <c r="D46" s="14">
        <f t="shared" si="2"/>
        <v>183.16257412499894</v>
      </c>
      <c r="E46" s="14">
        <f t="shared" si="2"/>
        <v>178.48748689960962</v>
      </c>
      <c r="F46" s="14">
        <f t="shared" si="2"/>
        <v>174.42963833817979</v>
      </c>
      <c r="G46" s="14">
        <f t="shared" si="2"/>
        <v>171.48658694570727</v>
      </c>
      <c r="H46" s="13"/>
      <c r="I46" s="40"/>
    </row>
    <row r="47" spans="1:8" ht="14.25">
      <c r="A47" s="7" t="s">
        <v>9</v>
      </c>
      <c r="B47" s="15">
        <v>-72</v>
      </c>
      <c r="C47" s="15">
        <f>-$C$11*C46</f>
        <v>-74.45966850828731</v>
      </c>
      <c r="D47" s="15">
        <f>-$C$11*D46</f>
        <v>-73.26502964999958</v>
      </c>
      <c r="E47" s="15">
        <f>-$C$11*E46</f>
        <v>-71.39499475984385</v>
      </c>
      <c r="F47" s="15">
        <f>-$C$11*F46</f>
        <v>-69.77185533527192</v>
      </c>
      <c r="G47" s="15">
        <f>-$C$11*G46</f>
        <v>-68.59463477828291</v>
      </c>
      <c r="H47" s="13"/>
    </row>
    <row r="48" spans="1:8" ht="14.25">
      <c r="A48" s="5" t="s">
        <v>10</v>
      </c>
      <c r="B48" s="14">
        <f aca="true" t="shared" si="3" ref="B48:G48">SUM(B46:B47)</f>
        <v>106</v>
      </c>
      <c r="C48" s="14">
        <f t="shared" si="3"/>
        <v>111.68950276243095</v>
      </c>
      <c r="D48" s="14">
        <f t="shared" si="3"/>
        <v>109.89754447499936</v>
      </c>
      <c r="E48" s="14">
        <f t="shared" si="3"/>
        <v>107.09249213976577</v>
      </c>
      <c r="F48" s="14">
        <f t="shared" si="3"/>
        <v>104.65778300290786</v>
      </c>
      <c r="G48" s="14">
        <f t="shared" si="3"/>
        <v>102.89195216742436</v>
      </c>
      <c r="H48" s="13"/>
    </row>
    <row r="49" spans="1:8" ht="14.25">
      <c r="A49" s="13"/>
      <c r="B49" s="13">
        <f>+B46/(B67+B68)</f>
        <v>0.32014388489208634</v>
      </c>
      <c r="C49" s="13"/>
      <c r="D49" s="13"/>
      <c r="E49" s="13"/>
      <c r="F49" s="13"/>
      <c r="G49" s="13"/>
      <c r="H49" s="13"/>
    </row>
    <row r="50" spans="1:8" ht="18">
      <c r="A50" s="32" t="s">
        <v>11</v>
      </c>
      <c r="B50" s="13"/>
      <c r="C50" s="53" t="s">
        <v>101</v>
      </c>
      <c r="D50" s="54"/>
      <c r="E50" s="54"/>
      <c r="F50" s="54"/>
      <c r="G50" s="55"/>
      <c r="H50" s="13"/>
    </row>
    <row r="51" spans="1:8" ht="14.25">
      <c r="A51" s="5" t="s">
        <v>98</v>
      </c>
      <c r="B51" s="14">
        <v>0</v>
      </c>
      <c r="C51" s="23">
        <v>1</v>
      </c>
      <c r="D51" s="23">
        <v>2</v>
      </c>
      <c r="E51" s="23">
        <v>3</v>
      </c>
      <c r="F51" s="23">
        <v>4</v>
      </c>
      <c r="G51" s="23">
        <v>5</v>
      </c>
      <c r="H51" s="13"/>
    </row>
    <row r="52" spans="1:8" ht="14.25">
      <c r="A52" s="5" t="s">
        <v>91</v>
      </c>
      <c r="B52" s="6"/>
      <c r="C52" s="7"/>
      <c r="D52" s="7"/>
      <c r="E52" s="7"/>
      <c r="F52" s="7"/>
      <c r="G52" s="7"/>
      <c r="H52" s="13"/>
    </row>
    <row r="53" spans="1:8" ht="14.25">
      <c r="A53" s="7" t="s">
        <v>12</v>
      </c>
      <c r="B53" s="6"/>
      <c r="C53" s="7"/>
      <c r="D53" s="7"/>
      <c r="E53" s="7"/>
      <c r="F53" s="7"/>
      <c r="G53" s="7"/>
      <c r="H53" s="13"/>
    </row>
    <row r="54" spans="1:8" ht="14.25">
      <c r="A54" s="7" t="s">
        <v>13</v>
      </c>
      <c r="B54" s="11">
        <v>1042</v>
      </c>
      <c r="C54" s="15">
        <f>+B54+C20</f>
        <v>1242</v>
      </c>
      <c r="D54" s="15">
        <f>+C54+D20</f>
        <v>1492</v>
      </c>
      <c r="E54" s="15">
        <f>+D54+E20</f>
        <v>1752</v>
      </c>
      <c r="F54" s="15">
        <f>+E54+F20</f>
        <v>2012</v>
      </c>
      <c r="G54" s="15">
        <f>+F54+G20</f>
        <v>2272</v>
      </c>
      <c r="H54" s="13"/>
    </row>
    <row r="55" spans="1:8" ht="14.25">
      <c r="A55" s="7" t="s">
        <v>14</v>
      </c>
      <c r="B55" s="11">
        <v>-300</v>
      </c>
      <c r="C55" s="15">
        <f>+B55+C40</f>
        <v>-414.2</v>
      </c>
      <c r="D55" s="15">
        <f>+C55+D40</f>
        <v>-550.9</v>
      </c>
      <c r="E55" s="15">
        <f>+D55+E40</f>
        <v>-713.1</v>
      </c>
      <c r="F55" s="15">
        <f>+E55+F40</f>
        <v>-901.3000000000001</v>
      </c>
      <c r="G55" s="15">
        <f>+F55+G40</f>
        <v>-1115.5</v>
      </c>
      <c r="H55" s="13"/>
    </row>
    <row r="56" spans="1:8" ht="14.25">
      <c r="A56" s="7" t="s">
        <v>15</v>
      </c>
      <c r="B56" s="15">
        <f aca="true" t="shared" si="4" ref="B56:G56">SUM(B54:B55)</f>
        <v>742</v>
      </c>
      <c r="C56" s="15">
        <f t="shared" si="4"/>
        <v>827.8</v>
      </c>
      <c r="D56" s="15">
        <f t="shared" si="4"/>
        <v>941.1</v>
      </c>
      <c r="E56" s="15">
        <f t="shared" si="4"/>
        <v>1038.9</v>
      </c>
      <c r="F56" s="15">
        <f t="shared" si="4"/>
        <v>1110.6999999999998</v>
      </c>
      <c r="G56" s="15">
        <f t="shared" si="4"/>
        <v>1156.5</v>
      </c>
      <c r="H56" s="13"/>
    </row>
    <row r="57" spans="1:8" ht="14.25">
      <c r="A57" s="7" t="s">
        <v>22</v>
      </c>
      <c r="B57" s="11">
        <v>150</v>
      </c>
      <c r="C57" s="15">
        <f>+$C$13*C38</f>
        <v>157.5</v>
      </c>
      <c r="D57" s="15">
        <f>+$C$13*D38</f>
        <v>165.375</v>
      </c>
      <c r="E57" s="15">
        <f>+$C$13*E38</f>
        <v>173.64374999999998</v>
      </c>
      <c r="F57" s="15">
        <f>+$C$13*F38</f>
        <v>182.3259375</v>
      </c>
      <c r="G57" s="15">
        <f>+$C$13*G38</f>
        <v>191.44223437500003</v>
      </c>
      <c r="H57" s="13"/>
    </row>
    <row r="58" spans="1:9" ht="14.25">
      <c r="A58" s="7" t="s">
        <v>24</v>
      </c>
      <c r="B58" s="37"/>
      <c r="C58" s="37"/>
      <c r="D58" s="37"/>
      <c r="E58" s="37"/>
      <c r="F58" s="37"/>
      <c r="G58" s="37"/>
      <c r="H58" s="13"/>
      <c r="I58" s="38" t="s">
        <v>57</v>
      </c>
    </row>
    <row r="59" spans="1:9" ht="14.25">
      <c r="A59" s="7" t="s">
        <v>32</v>
      </c>
      <c r="B59" s="11">
        <f>70-16</f>
        <v>54</v>
      </c>
      <c r="C59" s="15">
        <f>+C69-C56-C57-C58-C60</f>
        <v>55.88950276243099</v>
      </c>
      <c r="D59" s="15">
        <f>+D69-D56-D57-D58-D60</f>
        <v>28.287047237430194</v>
      </c>
      <c r="E59" s="15">
        <f>+E69-E56-E57-E58-E60</f>
        <v>13.169539377195905</v>
      </c>
      <c r="F59" s="15">
        <f>+F69-F56-F57-F58-F60</f>
        <v>21.396822380104126</v>
      </c>
      <c r="G59" s="15">
        <f>+G69-G56-G57-G58-G60</f>
        <v>53.626749547528334</v>
      </c>
      <c r="H59" s="51"/>
      <c r="I59" s="40" t="s">
        <v>104</v>
      </c>
    </row>
    <row r="60" spans="1:8" ht="14.25">
      <c r="A60" s="7" t="s">
        <v>31</v>
      </c>
      <c r="B60" s="11">
        <v>10</v>
      </c>
      <c r="C60" s="15">
        <f>+$C$15*C38</f>
        <v>10.5</v>
      </c>
      <c r="D60" s="15">
        <f>+$C$15*D38</f>
        <v>11.025</v>
      </c>
      <c r="E60" s="15">
        <f>+$C$15*E38</f>
        <v>11.57625</v>
      </c>
      <c r="F60" s="15">
        <f>+$C$15*F38</f>
        <v>12.155062500000001</v>
      </c>
      <c r="G60" s="15">
        <f>+$C$15*G38</f>
        <v>12.762815625000004</v>
      </c>
      <c r="H60" s="13"/>
    </row>
    <row r="61" spans="1:8" ht="14.25">
      <c r="A61" s="5" t="s">
        <v>16</v>
      </c>
      <c r="B61" s="14">
        <f>+B60+B59+B57+B58+B56</f>
        <v>956</v>
      </c>
      <c r="C61" s="14">
        <f>SUM(C56:C60)</f>
        <v>1051.689502762431</v>
      </c>
      <c r="D61" s="14">
        <f>SUM(D56:D60)</f>
        <v>1145.7870472374302</v>
      </c>
      <c r="E61" s="14">
        <f>SUM(E56:E60)</f>
        <v>1237.289539377196</v>
      </c>
      <c r="F61" s="14">
        <f>SUM(F56:F60)</f>
        <v>1326.577822380104</v>
      </c>
      <c r="G61" s="14">
        <f>SUM(G56:G60)</f>
        <v>1414.3317995475284</v>
      </c>
      <c r="H61" s="13"/>
    </row>
    <row r="62" spans="1:8" ht="14.25">
      <c r="A62" s="18" t="s">
        <v>92</v>
      </c>
      <c r="B62" s="15"/>
      <c r="C62" s="15"/>
      <c r="D62" s="15"/>
      <c r="E62" s="15"/>
      <c r="F62" s="15"/>
      <c r="G62" s="15"/>
      <c r="H62" s="13"/>
    </row>
    <row r="63" spans="1:8" ht="14.25">
      <c r="A63" s="7" t="s">
        <v>23</v>
      </c>
      <c r="B63" s="11">
        <v>80</v>
      </c>
      <c r="C63" s="15">
        <f>+$C$14*C38</f>
        <v>84</v>
      </c>
      <c r="D63" s="15">
        <f>+$C$14*D38</f>
        <v>88.2</v>
      </c>
      <c r="E63" s="15">
        <f>+$C$14*E38</f>
        <v>92.61</v>
      </c>
      <c r="F63" s="15">
        <f>+$C$14*F38</f>
        <v>97.24050000000001</v>
      </c>
      <c r="G63" s="15">
        <f>+$C$14*G38</f>
        <v>102.10252500000003</v>
      </c>
      <c r="H63" s="13"/>
    </row>
    <row r="64" spans="1:9" ht="14.25">
      <c r="A64" s="7" t="s">
        <v>63</v>
      </c>
      <c r="B64" s="44"/>
      <c r="C64" s="37"/>
      <c r="D64" s="37"/>
      <c r="E64" s="37"/>
      <c r="F64" s="37"/>
      <c r="G64" s="37"/>
      <c r="H64" s="13"/>
      <c r="I64" s="38" t="s">
        <v>57</v>
      </c>
    </row>
    <row r="65" spans="1:8" ht="14.25">
      <c r="A65" s="7" t="s">
        <v>17</v>
      </c>
      <c r="B65" s="11">
        <v>320</v>
      </c>
      <c r="C65" s="15">
        <f>+B65-C18+C19</f>
        <v>300</v>
      </c>
      <c r="D65" s="15">
        <f>+C65-D18+D19</f>
        <v>280</v>
      </c>
      <c r="E65" s="15">
        <f>+D65-E18+E19</f>
        <v>260</v>
      </c>
      <c r="F65" s="15">
        <f>+E65-F18+F19</f>
        <v>240</v>
      </c>
      <c r="G65" s="15">
        <f>+F65-G18+G19</f>
        <v>220</v>
      </c>
      <c r="H65" s="13"/>
    </row>
    <row r="66" spans="1:9" ht="14.25">
      <c r="A66" s="7" t="s">
        <v>102</v>
      </c>
      <c r="B66" s="37"/>
      <c r="C66" s="37"/>
      <c r="D66" s="37"/>
      <c r="E66" s="37"/>
      <c r="F66" s="37"/>
      <c r="G66" s="37"/>
      <c r="H66" s="13"/>
      <c r="I66" s="40" t="s">
        <v>105</v>
      </c>
    </row>
    <row r="67" spans="1:8" ht="14.25">
      <c r="A67" s="7" t="s">
        <v>20</v>
      </c>
      <c r="B67" s="11">
        <v>450</v>
      </c>
      <c r="C67" s="15">
        <f>+B67</f>
        <v>450</v>
      </c>
      <c r="D67" s="15">
        <f>+C67</f>
        <v>450</v>
      </c>
      <c r="E67" s="15">
        <f>+D67</f>
        <v>450</v>
      </c>
      <c r="F67" s="15">
        <f>+E67</f>
        <v>450</v>
      </c>
      <c r="G67" s="15">
        <f>+F67</f>
        <v>450</v>
      </c>
      <c r="H67" s="13"/>
    </row>
    <row r="68" spans="1:10" ht="14.25">
      <c r="A68" s="7" t="s">
        <v>18</v>
      </c>
      <c r="B68" s="15">
        <f>+B48</f>
        <v>106</v>
      </c>
      <c r="C68" s="15">
        <f>+B68+C48</f>
        <v>217.68950276243095</v>
      </c>
      <c r="D68" s="15">
        <f>+C68+D48</f>
        <v>327.5870472374303</v>
      </c>
      <c r="E68" s="15">
        <f>+D68+E48</f>
        <v>434.6795393771961</v>
      </c>
      <c r="F68" s="15">
        <f>+E68+F48</f>
        <v>539.337322380104</v>
      </c>
      <c r="G68" s="15">
        <f>+F68+G48</f>
        <v>642.2292745475283</v>
      </c>
      <c r="H68" s="13"/>
      <c r="J68" s="3"/>
    </row>
    <row r="69" spans="1:8" ht="14.25">
      <c r="A69" s="5" t="s">
        <v>19</v>
      </c>
      <c r="B69" s="14">
        <f aca="true" t="shared" si="5" ref="B69:G69">SUM(B63:B68)</f>
        <v>956</v>
      </c>
      <c r="C69" s="14">
        <f t="shared" si="5"/>
        <v>1051.689502762431</v>
      </c>
      <c r="D69" s="14">
        <f t="shared" si="5"/>
        <v>1145.7870472374302</v>
      </c>
      <c r="E69" s="14">
        <f t="shared" si="5"/>
        <v>1237.289539377196</v>
      </c>
      <c r="F69" s="14">
        <f t="shared" si="5"/>
        <v>1326.577822380104</v>
      </c>
      <c r="G69" s="14">
        <f t="shared" si="5"/>
        <v>1414.3317995475284</v>
      </c>
      <c r="H69" s="13"/>
    </row>
    <row r="70" spans="1:8" ht="14.25">
      <c r="A70" s="35" t="s">
        <v>103</v>
      </c>
      <c r="B70" s="36">
        <f aca="true" t="shared" si="6" ref="B70:G70">+B69-B61</f>
        <v>0</v>
      </c>
      <c r="C70" s="36">
        <f t="shared" si="6"/>
        <v>0</v>
      </c>
      <c r="D70" s="36">
        <f t="shared" si="6"/>
        <v>0</v>
      </c>
      <c r="E70" s="36">
        <f t="shared" si="6"/>
        <v>0</v>
      </c>
      <c r="F70" s="36">
        <f t="shared" si="6"/>
        <v>0</v>
      </c>
      <c r="G70" s="36">
        <f t="shared" si="6"/>
        <v>0</v>
      </c>
      <c r="H70" s="13"/>
    </row>
    <row r="71" spans="1:8" ht="14.25">
      <c r="A71" s="13"/>
      <c r="B71" s="13"/>
      <c r="C71" s="51"/>
      <c r="D71" s="51"/>
      <c r="E71" s="51"/>
      <c r="F71" s="51"/>
      <c r="G71" s="51"/>
      <c r="H71" s="13"/>
    </row>
    <row r="72" spans="1:8" ht="18">
      <c r="A72" s="32" t="s">
        <v>47</v>
      </c>
      <c r="B72" s="13"/>
      <c r="C72" s="53" t="s">
        <v>101</v>
      </c>
      <c r="D72" s="54"/>
      <c r="E72" s="54"/>
      <c r="F72" s="54"/>
      <c r="G72" s="55"/>
      <c r="H72" s="13"/>
    </row>
    <row r="73" spans="1:8" ht="14.25">
      <c r="A73" s="5" t="s">
        <v>98</v>
      </c>
      <c r="B73" s="6"/>
      <c r="C73" s="33">
        <v>1</v>
      </c>
      <c r="D73" s="33">
        <v>2</v>
      </c>
      <c r="E73" s="33">
        <v>3</v>
      </c>
      <c r="F73" s="33">
        <v>4</v>
      </c>
      <c r="G73" s="33">
        <v>5</v>
      </c>
      <c r="H73" s="13"/>
    </row>
    <row r="74" spans="1:8" ht="14.25">
      <c r="A74" s="7" t="s">
        <v>34</v>
      </c>
      <c r="B74" s="15"/>
      <c r="C74" s="15">
        <f>+C41</f>
        <v>253.3</v>
      </c>
      <c r="D74" s="15">
        <f>+D41</f>
        <v>249.17499999999998</v>
      </c>
      <c r="E74" s="15">
        <f>+E41</f>
        <v>242.96874999999991</v>
      </c>
      <c r="F74" s="15">
        <f>+F41</f>
        <v>237.22718750000004</v>
      </c>
      <c r="G74" s="15">
        <f>+G41</f>
        <v>232.49854687500002</v>
      </c>
      <c r="H74" s="13"/>
    </row>
    <row r="75" spans="1:8" ht="14.25">
      <c r="A75" s="7" t="s">
        <v>35</v>
      </c>
      <c r="B75" s="15"/>
      <c r="C75" s="15">
        <f>-C74*$C$10</f>
        <v>-63.325</v>
      </c>
      <c r="D75" s="15">
        <f>-D74*$C$10</f>
        <v>-62.293749999999996</v>
      </c>
      <c r="E75" s="15">
        <f>-E74*$C$10</f>
        <v>-60.74218749999998</v>
      </c>
      <c r="F75" s="15">
        <f>-F74*$C$10</f>
        <v>-59.30679687500001</v>
      </c>
      <c r="G75" s="15">
        <f>-G74*$C$10</f>
        <v>-58.124636718750004</v>
      </c>
      <c r="H75" s="13"/>
    </row>
    <row r="76" spans="1:8" ht="14.25">
      <c r="A76" s="7" t="s">
        <v>37</v>
      </c>
      <c r="B76" s="15"/>
      <c r="C76" s="15">
        <f>SUM(C74:C75)</f>
        <v>189.97500000000002</v>
      </c>
      <c r="D76" s="15">
        <f>SUM(D74:D75)</f>
        <v>186.88125</v>
      </c>
      <c r="E76" s="15">
        <f>SUM(E74:E75)</f>
        <v>182.22656249999994</v>
      </c>
      <c r="F76" s="15">
        <f>SUM(F74:F75)</f>
        <v>177.92039062500004</v>
      </c>
      <c r="G76" s="15">
        <f>SUM(G74:G75)</f>
        <v>174.37391015625002</v>
      </c>
      <c r="H76" s="13"/>
    </row>
    <row r="77" spans="1:8" ht="14.25">
      <c r="A77" s="7" t="s">
        <v>41</v>
      </c>
      <c r="B77" s="15"/>
      <c r="C77" s="15">
        <f>-C40</f>
        <v>114.2</v>
      </c>
      <c r="D77" s="15">
        <f>-D40</f>
        <v>136.70000000000002</v>
      </c>
      <c r="E77" s="15">
        <f>-E40</f>
        <v>162.20000000000002</v>
      </c>
      <c r="F77" s="15">
        <f>-F40</f>
        <v>188.20000000000002</v>
      </c>
      <c r="G77" s="15">
        <f>-G40</f>
        <v>214.20000000000002</v>
      </c>
      <c r="H77" s="13"/>
    </row>
    <row r="78" spans="1:8" ht="14.25">
      <c r="A78" s="7" t="s">
        <v>38</v>
      </c>
      <c r="B78" s="15">
        <f aca="true" t="shared" si="7" ref="B78:G78">+B57-B63</f>
        <v>70</v>
      </c>
      <c r="C78" s="15">
        <f t="shared" si="7"/>
        <v>73.5</v>
      </c>
      <c r="D78" s="15">
        <f t="shared" si="7"/>
        <v>77.175</v>
      </c>
      <c r="E78" s="15">
        <f t="shared" si="7"/>
        <v>81.03374999999998</v>
      </c>
      <c r="F78" s="15">
        <f t="shared" si="7"/>
        <v>85.0854375</v>
      </c>
      <c r="G78" s="15">
        <f t="shared" si="7"/>
        <v>89.339709375</v>
      </c>
      <c r="H78" s="13"/>
    </row>
    <row r="79" spans="1:8" ht="14.25">
      <c r="A79" s="7" t="s">
        <v>39</v>
      </c>
      <c r="B79" s="15"/>
      <c r="C79" s="15">
        <f>+B78-C78</f>
        <v>-3.5</v>
      </c>
      <c r="D79" s="15">
        <f>+C78-D78</f>
        <v>-3.674999999999997</v>
      </c>
      <c r="E79" s="15">
        <f>+D78-E78</f>
        <v>-3.8587499999999864</v>
      </c>
      <c r="F79" s="15">
        <f>+E78-F78</f>
        <v>-4.051687500000014</v>
      </c>
      <c r="G79" s="15">
        <f>+F78-G78</f>
        <v>-4.254271875000001</v>
      </c>
      <c r="H79" s="13"/>
    </row>
    <row r="80" spans="1:8" ht="14.25">
      <c r="A80" s="7" t="s">
        <v>40</v>
      </c>
      <c r="B80" s="15"/>
      <c r="C80" s="15">
        <f>+B54-C54</f>
        <v>-200</v>
      </c>
      <c r="D80" s="15">
        <f>+C54-D54</f>
        <v>-250</v>
      </c>
      <c r="E80" s="15">
        <f>+D54-E54</f>
        <v>-260</v>
      </c>
      <c r="F80" s="15">
        <f>+E54-F54</f>
        <v>-260</v>
      </c>
      <c r="G80" s="15">
        <f>+F54-G54</f>
        <v>-260</v>
      </c>
      <c r="H80" s="13"/>
    </row>
    <row r="81" spans="1:8" ht="14.25">
      <c r="A81" s="5" t="s">
        <v>47</v>
      </c>
      <c r="B81" s="14"/>
      <c r="C81" s="14">
        <f>+C76+C77+C79+C80</f>
        <v>100.67500000000001</v>
      </c>
      <c r="D81" s="14">
        <f>+D76+D77+D79+D80</f>
        <v>69.90625</v>
      </c>
      <c r="E81" s="14">
        <f>+E76+E77+E79+E80</f>
        <v>80.56781249999995</v>
      </c>
      <c r="F81" s="14">
        <f>+F76+F77+F79+F80</f>
        <v>102.06870312500001</v>
      </c>
      <c r="G81" s="14">
        <f>+G76+G77+G79+G80</f>
        <v>124.31963828125004</v>
      </c>
      <c r="H81" s="13"/>
    </row>
    <row r="82" spans="1:8" ht="14.25">
      <c r="A82" s="13"/>
      <c r="B82" s="13"/>
      <c r="C82" s="51"/>
      <c r="D82" s="13"/>
      <c r="E82" s="13"/>
      <c r="F82" s="13"/>
      <c r="G82" s="13"/>
      <c r="H82" s="13"/>
    </row>
    <row r="83" spans="1:8" ht="18">
      <c r="A83" s="32" t="s">
        <v>100</v>
      </c>
      <c r="B83" s="13"/>
      <c r="C83" s="13"/>
      <c r="D83" s="13"/>
      <c r="E83" s="13"/>
      <c r="F83" s="13"/>
      <c r="G83" s="13"/>
      <c r="H83" s="13"/>
    </row>
    <row r="84" spans="1:8" ht="14.25">
      <c r="A84" s="5" t="s">
        <v>98</v>
      </c>
      <c r="B84" s="15"/>
      <c r="C84" s="23">
        <v>1</v>
      </c>
      <c r="D84" s="23">
        <v>2</v>
      </c>
      <c r="E84" s="23">
        <v>3</v>
      </c>
      <c r="F84" s="23">
        <v>4</v>
      </c>
      <c r="G84" s="23">
        <v>5</v>
      </c>
      <c r="H84" s="13"/>
    </row>
    <row r="85" spans="1:8" ht="14.25">
      <c r="A85" s="7" t="s">
        <v>8</v>
      </c>
      <c r="B85" s="15"/>
      <c r="C85" s="15">
        <f>+C46</f>
        <v>186.14917127071826</v>
      </c>
      <c r="D85" s="15">
        <f>+D46</f>
        <v>183.16257412499894</v>
      </c>
      <c r="E85" s="15">
        <f>+E46</f>
        <v>178.48748689960962</v>
      </c>
      <c r="F85" s="15">
        <f>+F46</f>
        <v>174.42963833817979</v>
      </c>
      <c r="G85" s="15">
        <f>+G46</f>
        <v>171.48658694570727</v>
      </c>
      <c r="H85" s="13"/>
    </row>
    <row r="86" spans="1:8" ht="14.25">
      <c r="A86" s="7" t="s">
        <v>41</v>
      </c>
      <c r="B86" s="15"/>
      <c r="C86" s="15">
        <f>-C40</f>
        <v>114.2</v>
      </c>
      <c r="D86" s="15">
        <f>-D40</f>
        <v>136.70000000000002</v>
      </c>
      <c r="E86" s="15">
        <f>-E40</f>
        <v>162.20000000000002</v>
      </c>
      <c r="F86" s="15">
        <f>-F40</f>
        <v>188.20000000000002</v>
      </c>
      <c r="G86" s="15">
        <f>-G40</f>
        <v>214.20000000000002</v>
      </c>
      <c r="H86" s="13"/>
    </row>
    <row r="87" spans="1:8" ht="14.25">
      <c r="A87" s="7" t="s">
        <v>42</v>
      </c>
      <c r="B87" s="15"/>
      <c r="C87" s="15">
        <f>+B57-C57</f>
        <v>-7.5</v>
      </c>
      <c r="D87" s="15">
        <f>+C57-D57</f>
        <v>-7.875</v>
      </c>
      <c r="E87" s="15">
        <f>+D57-E57</f>
        <v>-8.268749999999983</v>
      </c>
      <c r="F87" s="15">
        <f>+E57-F57</f>
        <v>-8.682187500000026</v>
      </c>
      <c r="G87" s="15">
        <f>+F57-G57</f>
        <v>-9.116296875000018</v>
      </c>
      <c r="H87" s="13"/>
    </row>
    <row r="88" spans="1:8" ht="14.25">
      <c r="A88" s="7" t="s">
        <v>43</v>
      </c>
      <c r="B88" s="15"/>
      <c r="C88" s="15">
        <f>+C63-B63</f>
        <v>4</v>
      </c>
      <c r="D88" s="15">
        <f>+D63-C63</f>
        <v>4.200000000000003</v>
      </c>
      <c r="E88" s="15">
        <f>+E63-D63</f>
        <v>4.409999999999997</v>
      </c>
      <c r="F88" s="15">
        <f>+F63-E63</f>
        <v>4.630500000000012</v>
      </c>
      <c r="G88" s="15">
        <f>+G63-F63</f>
        <v>4.862025000000017</v>
      </c>
      <c r="H88" s="13"/>
    </row>
    <row r="89" spans="1:8" ht="14.25">
      <c r="A89" s="7" t="s">
        <v>44</v>
      </c>
      <c r="B89" s="15"/>
      <c r="C89" s="15">
        <f>+B54-C54</f>
        <v>-200</v>
      </c>
      <c r="D89" s="15">
        <f>+C54-D54</f>
        <v>-250</v>
      </c>
      <c r="E89" s="15">
        <f>+D54-E54</f>
        <v>-260</v>
      </c>
      <c r="F89" s="15">
        <f>+E54-F54</f>
        <v>-260</v>
      </c>
      <c r="G89" s="15">
        <f>+F54-G54</f>
        <v>-260</v>
      </c>
      <c r="H89" s="13"/>
    </row>
    <row r="90" spans="1:8" ht="14.25">
      <c r="A90" s="7" t="s">
        <v>45</v>
      </c>
      <c r="B90" s="15"/>
      <c r="C90" s="15">
        <f aca="true" t="shared" si="8" ref="C90:G91">-C42*(1-$C$10)</f>
        <v>4.65</v>
      </c>
      <c r="D90" s="15">
        <f t="shared" si="8"/>
        <v>4.35</v>
      </c>
      <c r="E90" s="15">
        <f t="shared" si="8"/>
        <v>4.050000000000001</v>
      </c>
      <c r="F90" s="15">
        <f t="shared" si="8"/>
        <v>3.75</v>
      </c>
      <c r="G90" s="15">
        <f t="shared" si="8"/>
        <v>3.45</v>
      </c>
      <c r="H90" s="13"/>
    </row>
    <row r="91" spans="1:8" ht="14.25">
      <c r="A91" s="7" t="s">
        <v>46</v>
      </c>
      <c r="B91" s="15"/>
      <c r="C91" s="15">
        <f t="shared" si="8"/>
        <v>-0.8241712707182325</v>
      </c>
      <c r="D91" s="15">
        <f t="shared" si="8"/>
        <v>-0.6313241249989588</v>
      </c>
      <c r="E91" s="15">
        <f t="shared" si="8"/>
        <v>-0.31092439960969576</v>
      </c>
      <c r="F91" s="15">
        <f t="shared" si="8"/>
        <v>-0.2592477131797502</v>
      </c>
      <c r="G91" s="15">
        <f t="shared" si="8"/>
        <v>-0.5626767894572434</v>
      </c>
      <c r="H91" s="13"/>
    </row>
    <row r="92" spans="1:8" ht="14.25">
      <c r="A92" s="5" t="s">
        <v>47</v>
      </c>
      <c r="B92" s="14"/>
      <c r="C92" s="14">
        <f>SUM(C85:C91)</f>
        <v>100.67500000000004</v>
      </c>
      <c r="D92" s="14">
        <f>SUM(D85:D91)</f>
        <v>69.90624999999999</v>
      </c>
      <c r="E92" s="14">
        <f>SUM(E85:E91)</f>
        <v>80.56781249999999</v>
      </c>
      <c r="F92" s="14">
        <f>SUM(F85:F91)</f>
        <v>102.06870312499998</v>
      </c>
      <c r="G92" s="14">
        <f>SUM(G85:G91)</f>
        <v>124.31963828125008</v>
      </c>
      <c r="H92" s="13"/>
    </row>
    <row r="93" spans="1:8" ht="14.25">
      <c r="A93" s="13"/>
      <c r="B93" s="13"/>
      <c r="C93" s="13"/>
      <c r="D93" s="13"/>
      <c r="E93" s="13"/>
      <c r="F93" s="13"/>
      <c r="G93" s="13"/>
      <c r="H93" s="13"/>
    </row>
    <row r="94" spans="1:8" ht="14.25">
      <c r="A94" s="5" t="s">
        <v>48</v>
      </c>
      <c r="B94" s="14"/>
      <c r="C94" s="23">
        <v>1</v>
      </c>
      <c r="D94" s="23">
        <v>2</v>
      </c>
      <c r="E94" s="23">
        <v>3</v>
      </c>
      <c r="F94" s="23">
        <v>4</v>
      </c>
      <c r="G94" s="23">
        <v>5</v>
      </c>
      <c r="H94" s="13"/>
    </row>
    <row r="95" spans="1:8" ht="14.25">
      <c r="A95" s="20" t="s">
        <v>49</v>
      </c>
      <c r="B95" s="6"/>
      <c r="C95" s="7"/>
      <c r="D95" s="7"/>
      <c r="E95" s="7"/>
      <c r="F95" s="7"/>
      <c r="G95" s="7"/>
      <c r="H95" s="13"/>
    </row>
    <row r="96" spans="1:8" ht="14.25">
      <c r="A96" s="7" t="s">
        <v>8</v>
      </c>
      <c r="B96" s="6"/>
      <c r="C96" s="21">
        <f>+C46</f>
        <v>186.14917127071826</v>
      </c>
      <c r="D96" s="21">
        <f>+D46</f>
        <v>183.16257412499894</v>
      </c>
      <c r="E96" s="21">
        <f>+E46</f>
        <v>178.48748689960962</v>
      </c>
      <c r="F96" s="21">
        <f>+F46</f>
        <v>174.42963833817979</v>
      </c>
      <c r="G96" s="21">
        <f>+G46</f>
        <v>171.48658694570727</v>
      </c>
      <c r="H96" s="13"/>
    </row>
    <row r="97" spans="1:8" ht="14.25">
      <c r="A97" s="7" t="s">
        <v>41</v>
      </c>
      <c r="B97" s="6"/>
      <c r="C97" s="21">
        <f>-C40</f>
        <v>114.2</v>
      </c>
      <c r="D97" s="21">
        <f>-D40</f>
        <v>136.70000000000002</v>
      </c>
      <c r="E97" s="21">
        <f>-E40</f>
        <v>162.20000000000002</v>
      </c>
      <c r="F97" s="21">
        <f>-F40</f>
        <v>188.20000000000002</v>
      </c>
      <c r="G97" s="21">
        <f>-G40</f>
        <v>214.20000000000002</v>
      </c>
      <c r="H97" s="13"/>
    </row>
    <row r="98" spans="1:8" ht="14.25">
      <c r="A98" s="7" t="s">
        <v>50</v>
      </c>
      <c r="B98" s="6"/>
      <c r="C98" s="7"/>
      <c r="D98" s="7"/>
      <c r="E98" s="7"/>
      <c r="F98" s="7"/>
      <c r="G98" s="7"/>
      <c r="H98" s="13"/>
    </row>
    <row r="99" spans="1:8" ht="14.25">
      <c r="A99" s="22" t="s">
        <v>42</v>
      </c>
      <c r="B99" s="6"/>
      <c r="C99" s="21">
        <f aca="true" t="shared" si="9" ref="C99:G100">+C87</f>
        <v>-7.5</v>
      </c>
      <c r="D99" s="21">
        <f t="shared" si="9"/>
        <v>-7.875</v>
      </c>
      <c r="E99" s="21">
        <f t="shared" si="9"/>
        <v>-8.268749999999983</v>
      </c>
      <c r="F99" s="21">
        <f t="shared" si="9"/>
        <v>-8.682187500000026</v>
      </c>
      <c r="G99" s="21">
        <f t="shared" si="9"/>
        <v>-9.116296875000018</v>
      </c>
      <c r="H99" s="13"/>
    </row>
    <row r="100" spans="1:8" ht="14.25">
      <c r="A100" s="22" t="s">
        <v>43</v>
      </c>
      <c r="B100" s="6"/>
      <c r="C100" s="21">
        <f t="shared" si="9"/>
        <v>4</v>
      </c>
      <c r="D100" s="21">
        <f t="shared" si="9"/>
        <v>4.200000000000003</v>
      </c>
      <c r="E100" s="21">
        <f t="shared" si="9"/>
        <v>4.409999999999997</v>
      </c>
      <c r="F100" s="21">
        <f t="shared" si="9"/>
        <v>4.630500000000012</v>
      </c>
      <c r="G100" s="21">
        <f t="shared" si="9"/>
        <v>4.862025000000017</v>
      </c>
      <c r="H100" s="13"/>
    </row>
    <row r="101" spans="1:8" ht="14.25">
      <c r="A101" s="5" t="s">
        <v>51</v>
      </c>
      <c r="B101" s="12"/>
      <c r="C101" s="23">
        <f>SUM(C96:C100)</f>
        <v>296.8491712707183</v>
      </c>
      <c r="D101" s="23">
        <f>SUM(D96:D100)</f>
        <v>316.18757412499895</v>
      </c>
      <c r="E101" s="23">
        <f>SUM(E96:E100)</f>
        <v>336.8287368996097</v>
      </c>
      <c r="F101" s="23">
        <f>SUM(F96:F100)</f>
        <v>358.57795083817973</v>
      </c>
      <c r="G101" s="23">
        <f>SUM(G96:G100)</f>
        <v>381.4323150707073</v>
      </c>
      <c r="H101" s="13"/>
    </row>
    <row r="102" spans="1:8" ht="14.25">
      <c r="A102" s="7"/>
      <c r="B102" s="6"/>
      <c r="C102" s="7"/>
      <c r="D102" s="7"/>
      <c r="E102" s="7"/>
      <c r="F102" s="7"/>
      <c r="G102" s="7"/>
      <c r="H102" s="13"/>
    </row>
    <row r="103" spans="1:8" ht="14.25">
      <c r="A103" s="20" t="s">
        <v>52</v>
      </c>
      <c r="B103" s="6"/>
      <c r="C103" s="7"/>
      <c r="D103" s="7"/>
      <c r="E103" s="7"/>
      <c r="F103" s="7"/>
      <c r="G103" s="7"/>
      <c r="H103" s="13"/>
    </row>
    <row r="104" spans="1:8" ht="14.25">
      <c r="A104" s="7" t="s">
        <v>53</v>
      </c>
      <c r="B104" s="6"/>
      <c r="C104" s="21">
        <f>-C20</f>
        <v>-200</v>
      </c>
      <c r="D104" s="21">
        <f>-D20</f>
        <v>-250</v>
      </c>
      <c r="E104" s="21">
        <f>-E20</f>
        <v>-260</v>
      </c>
      <c r="F104" s="21">
        <f>-F20</f>
        <v>-260</v>
      </c>
      <c r="G104" s="21">
        <f>-G20</f>
        <v>-260</v>
      </c>
      <c r="H104" s="13"/>
    </row>
    <row r="105" spans="1:9" ht="14.25">
      <c r="A105" s="7" t="s">
        <v>54</v>
      </c>
      <c r="B105" s="6"/>
      <c r="C105" s="37"/>
      <c r="D105" s="37"/>
      <c r="E105" s="37"/>
      <c r="F105" s="37"/>
      <c r="G105" s="37"/>
      <c r="H105" s="13"/>
      <c r="I105" s="38" t="s">
        <v>57</v>
      </c>
    </row>
    <row r="106" spans="1:9" ht="14.25">
      <c r="A106" s="7" t="s">
        <v>55</v>
      </c>
      <c r="B106" s="6"/>
      <c r="C106" s="37"/>
      <c r="D106" s="37"/>
      <c r="E106" s="37"/>
      <c r="F106" s="37"/>
      <c r="G106" s="37"/>
      <c r="H106" s="13"/>
      <c r="I106" s="38" t="s">
        <v>57</v>
      </c>
    </row>
    <row r="107" spans="1:8" ht="14.25">
      <c r="A107" s="5" t="s">
        <v>56</v>
      </c>
      <c r="B107" s="12"/>
      <c r="C107" s="23">
        <f>SUM(C104:C106)</f>
        <v>-200</v>
      </c>
      <c r="D107" s="23">
        <f>SUM(D104:D106)</f>
        <v>-250</v>
      </c>
      <c r="E107" s="23">
        <f>SUM(E104:E106)</f>
        <v>-260</v>
      </c>
      <c r="F107" s="23">
        <f>SUM(F104:F106)</f>
        <v>-260</v>
      </c>
      <c r="G107" s="23">
        <f>SUM(G104:G106)</f>
        <v>-260</v>
      </c>
      <c r="H107" s="13"/>
    </row>
    <row r="108" spans="1:8" ht="14.25">
      <c r="A108" s="7"/>
      <c r="B108" s="6"/>
      <c r="C108" s="7"/>
      <c r="D108" s="7"/>
      <c r="E108" s="7"/>
      <c r="F108" s="7"/>
      <c r="G108" s="7"/>
      <c r="H108" s="13"/>
    </row>
    <row r="109" spans="1:8" ht="14.25">
      <c r="A109" s="20" t="s">
        <v>114</v>
      </c>
      <c r="B109" s="6"/>
      <c r="C109" s="7"/>
      <c r="D109" s="7"/>
      <c r="E109" s="7"/>
      <c r="F109" s="7"/>
      <c r="G109" s="7"/>
      <c r="H109" s="13"/>
    </row>
    <row r="110" spans="1:8" ht="14.25">
      <c r="A110" s="7" t="s">
        <v>64</v>
      </c>
      <c r="B110" s="6"/>
      <c r="C110" s="21">
        <f>+C65-B65+C66-B66</f>
        <v>-20</v>
      </c>
      <c r="D110" s="21">
        <f>+D65-C65+D66-C66</f>
        <v>-20</v>
      </c>
      <c r="E110" s="21">
        <f>+E65-D65+E66-D66</f>
        <v>-20</v>
      </c>
      <c r="F110" s="21">
        <f>+F65-E65+F66-E66</f>
        <v>-20</v>
      </c>
      <c r="G110" s="21">
        <f>+G65-F65+G66-F66</f>
        <v>-20</v>
      </c>
      <c r="H110" s="13"/>
    </row>
    <row r="111" spans="1:8" ht="14.25">
      <c r="A111" s="7" t="s">
        <v>68</v>
      </c>
      <c r="B111" s="6"/>
      <c r="C111" s="21">
        <f>+C67-B67</f>
        <v>0</v>
      </c>
      <c r="D111" s="21">
        <f>+D67-C67</f>
        <v>0</v>
      </c>
      <c r="E111" s="21">
        <f>+E67-D67</f>
        <v>0</v>
      </c>
      <c r="F111" s="21">
        <f>+F67-E67</f>
        <v>0</v>
      </c>
      <c r="G111" s="21">
        <f>+G67-F67</f>
        <v>0</v>
      </c>
      <c r="H111" s="13"/>
    </row>
    <row r="112" spans="1:9" ht="14.25">
      <c r="A112" s="7" t="s">
        <v>70</v>
      </c>
      <c r="B112" s="6"/>
      <c r="C112" s="21">
        <f>+C47</f>
        <v>-74.45966850828731</v>
      </c>
      <c r="D112" s="21">
        <f>+D47</f>
        <v>-73.26502964999958</v>
      </c>
      <c r="E112" s="21">
        <f>+E47</f>
        <v>-71.39499475984385</v>
      </c>
      <c r="F112" s="21">
        <f>+F47</f>
        <v>-69.77185533527192</v>
      </c>
      <c r="G112" s="21">
        <f>+G47</f>
        <v>-68.59463477828291</v>
      </c>
      <c r="H112" s="13"/>
      <c r="I112" s="38" t="s">
        <v>72</v>
      </c>
    </row>
    <row r="113" spans="1:8" ht="14.25">
      <c r="A113" s="5" t="s">
        <v>71</v>
      </c>
      <c r="B113" s="12"/>
      <c r="C113" s="23">
        <f>SUM(C110:C112)</f>
        <v>-94.45966850828731</v>
      </c>
      <c r="D113" s="23">
        <f>SUM(D110:D112)</f>
        <v>-93.26502964999958</v>
      </c>
      <c r="E113" s="23">
        <f>SUM(E110:E112)</f>
        <v>-91.39499475984385</v>
      </c>
      <c r="F113" s="23">
        <f>SUM(F110:F112)</f>
        <v>-89.77185533527192</v>
      </c>
      <c r="G113" s="23">
        <f>SUM(G110:G112)</f>
        <v>-88.59463477828291</v>
      </c>
      <c r="H113" s="13"/>
    </row>
    <row r="114" spans="1:8" ht="14.25">
      <c r="A114" s="5" t="s">
        <v>73</v>
      </c>
      <c r="B114" s="12"/>
      <c r="C114" s="23">
        <f>+C101+C107+C113</f>
        <v>2.389502762430965</v>
      </c>
      <c r="D114" s="23">
        <f>+D101+D107+D113</f>
        <v>-27.07745552500063</v>
      </c>
      <c r="E114" s="23">
        <f>+E101+E107+E113</f>
        <v>-14.566257860234174</v>
      </c>
      <c r="F114" s="23">
        <f>+F101+F107+F113</f>
        <v>8.806095502907809</v>
      </c>
      <c r="G114" s="23">
        <f>+G101+G107+G113</f>
        <v>32.83768029242441</v>
      </c>
      <c r="H114" s="13"/>
    </row>
    <row r="115" spans="1:8" ht="14.25">
      <c r="A115" s="35" t="s">
        <v>96</v>
      </c>
      <c r="B115" s="34"/>
      <c r="C115" s="36">
        <f>C60+C59-B60-B59-C114</f>
        <v>2.842170943040401E-14</v>
      </c>
      <c r="D115" s="36">
        <f>D60+D59-C60-C59-D114</f>
        <v>-1.7053025658242404E-13</v>
      </c>
      <c r="E115" s="36">
        <f>E60+E59-D60-D59-E114</f>
        <v>-1.1546319456101628E-13</v>
      </c>
      <c r="F115" s="36">
        <f>F60+F59-E60-E59-F114</f>
        <v>4.1033842990145786E-13</v>
      </c>
      <c r="G115" s="36">
        <f>G60+G59-F60-F59-G114</f>
        <v>-1.9895196601282805E-13</v>
      </c>
      <c r="H115" s="13"/>
    </row>
    <row r="116" spans="1:8" ht="14.25">
      <c r="A116" s="13"/>
      <c r="B116" s="19"/>
      <c r="C116" s="19"/>
      <c r="D116" s="19"/>
      <c r="E116" s="19"/>
      <c r="F116" s="19"/>
      <c r="G116" s="19"/>
      <c r="H116" s="13"/>
    </row>
    <row r="117" spans="1:8" ht="14.25">
      <c r="A117" s="1" t="s">
        <v>74</v>
      </c>
      <c r="B117" s="19"/>
      <c r="C117" s="19"/>
      <c r="D117" s="19"/>
      <c r="E117" s="19"/>
      <c r="F117" s="19"/>
      <c r="G117" s="19"/>
      <c r="H117" s="13"/>
    </row>
    <row r="118" spans="1:8" ht="14.25">
      <c r="A118" s="30" t="s">
        <v>0</v>
      </c>
      <c r="B118" s="14">
        <v>0</v>
      </c>
      <c r="C118" s="23">
        <v>1</v>
      </c>
      <c r="D118" s="23">
        <v>2</v>
      </c>
      <c r="E118" s="23">
        <v>3</v>
      </c>
      <c r="F118" s="23">
        <v>4</v>
      </c>
      <c r="G118" s="23">
        <v>5</v>
      </c>
      <c r="H118" s="13"/>
    </row>
    <row r="119" spans="1:8" ht="14.25">
      <c r="A119" s="29" t="s">
        <v>81</v>
      </c>
      <c r="B119" s="21"/>
      <c r="C119" s="21">
        <f>+C81</f>
        <v>100.67500000000001</v>
      </c>
      <c r="D119" s="21">
        <f>+D81</f>
        <v>69.90625</v>
      </c>
      <c r="E119" s="21">
        <f>+E81</f>
        <v>80.56781249999995</v>
      </c>
      <c r="F119" s="21">
        <f>+F81</f>
        <v>102.06870312500001</v>
      </c>
      <c r="G119" s="21">
        <f>+G81</f>
        <v>124.31963828125004</v>
      </c>
      <c r="H119" s="13"/>
    </row>
    <row r="120" spans="1:8" ht="14.25">
      <c r="A120" s="7" t="s">
        <v>85</v>
      </c>
      <c r="B120" s="19"/>
      <c r="C120" s="19"/>
      <c r="D120" s="19"/>
      <c r="E120" s="19"/>
      <c r="F120" s="19"/>
      <c r="G120" s="21">
        <f>+G119*(1+B34)/(B30-B34)</f>
        <v>841.2697852624386</v>
      </c>
      <c r="H120" s="13"/>
    </row>
    <row r="121" spans="1:8" ht="14.25">
      <c r="A121" s="1" t="s">
        <v>82</v>
      </c>
      <c r="B121" s="19"/>
      <c r="C121" s="19"/>
      <c r="D121" s="19"/>
      <c r="E121" s="19"/>
      <c r="F121" s="19"/>
      <c r="G121" s="19"/>
      <c r="H121" s="13"/>
    </row>
    <row r="122" spans="1:8" ht="14.25">
      <c r="A122" s="7" t="s">
        <v>83</v>
      </c>
      <c r="B122" s="21">
        <f>NPV(B30,C119:G119)</f>
        <v>278.25095326615946</v>
      </c>
      <c r="C122" s="19"/>
      <c r="D122" s="19"/>
      <c r="E122" s="19"/>
      <c r="F122" s="19"/>
      <c r="G122" s="19"/>
      <c r="H122" s="13"/>
    </row>
    <row r="123" spans="1:8" ht="14.25">
      <c r="A123" s="7" t="s">
        <v>84</v>
      </c>
      <c r="B123" s="21">
        <f>G120/(1+B30)^G118</f>
        <v>338.0874587120783</v>
      </c>
      <c r="C123" s="52">
        <f>+B123/B124</f>
        <v>0.548541924601019</v>
      </c>
      <c r="D123" s="19"/>
      <c r="E123" s="19"/>
      <c r="F123" s="19"/>
      <c r="G123" s="19"/>
      <c r="H123" s="13"/>
    </row>
    <row r="124" spans="1:8" ht="14.25">
      <c r="A124" s="5" t="s">
        <v>86</v>
      </c>
      <c r="B124" s="23">
        <f>SUM(B122:B123)</f>
        <v>616.3384119782377</v>
      </c>
      <c r="C124" s="19"/>
      <c r="D124" s="19"/>
      <c r="E124" s="19"/>
      <c r="F124" s="19"/>
      <c r="G124" s="19"/>
      <c r="H124" s="13"/>
    </row>
    <row r="125" spans="1:9" ht="14.25">
      <c r="A125" s="7" t="s">
        <v>93</v>
      </c>
      <c r="B125" s="21">
        <f>+B59</f>
        <v>54</v>
      </c>
      <c r="D125" s="19"/>
      <c r="E125" s="19"/>
      <c r="F125" s="19"/>
      <c r="G125" s="19"/>
      <c r="H125" s="13"/>
      <c r="I125" s="41" t="s">
        <v>106</v>
      </c>
    </row>
    <row r="126" spans="1:9" ht="14.25">
      <c r="A126" s="7" t="s">
        <v>94</v>
      </c>
      <c r="B126" s="42"/>
      <c r="D126" s="19"/>
      <c r="E126" s="19"/>
      <c r="F126" s="19"/>
      <c r="G126" s="19"/>
      <c r="H126" s="13"/>
      <c r="I126" s="41" t="s">
        <v>107</v>
      </c>
    </row>
    <row r="127" spans="1:9" ht="14.25">
      <c r="A127" s="7" t="s">
        <v>115</v>
      </c>
      <c r="B127" s="42"/>
      <c r="D127" s="19"/>
      <c r="E127" s="19"/>
      <c r="F127" s="19"/>
      <c r="G127" s="19"/>
      <c r="H127" s="13"/>
      <c r="I127" s="41"/>
    </row>
    <row r="128" spans="1:9" ht="14.25">
      <c r="A128" s="7" t="s">
        <v>87</v>
      </c>
      <c r="B128" s="21">
        <f>+B124+B125+B126+B127</f>
        <v>670.3384119782377</v>
      </c>
      <c r="D128" s="19"/>
      <c r="E128" s="19"/>
      <c r="F128" s="19"/>
      <c r="G128" s="19"/>
      <c r="H128" s="13"/>
      <c r="I128" s="41"/>
    </row>
    <row r="129" spans="1:9" ht="14.25">
      <c r="A129" s="7" t="s">
        <v>88</v>
      </c>
      <c r="B129" s="21">
        <f>-B65</f>
        <v>-320</v>
      </c>
      <c r="D129" s="19"/>
      <c r="E129" s="19"/>
      <c r="F129" s="19"/>
      <c r="G129" s="19"/>
      <c r="H129" s="13"/>
      <c r="I129" s="41"/>
    </row>
    <row r="130" spans="1:9" ht="14.25">
      <c r="A130" s="7" t="s">
        <v>89</v>
      </c>
      <c r="B130" s="42"/>
      <c r="D130" s="19"/>
      <c r="E130" s="19"/>
      <c r="F130" s="19"/>
      <c r="G130" s="19"/>
      <c r="H130" s="13"/>
      <c r="I130" s="41" t="s">
        <v>95</v>
      </c>
    </row>
    <row r="131" spans="1:9" ht="14.25">
      <c r="A131" s="7" t="s">
        <v>116</v>
      </c>
      <c r="B131" s="42"/>
      <c r="D131" s="19"/>
      <c r="E131" s="19"/>
      <c r="F131" s="19"/>
      <c r="G131" s="19"/>
      <c r="H131" s="13"/>
      <c r="I131" s="41"/>
    </row>
    <row r="132" spans="1:8" ht="14.25">
      <c r="A132" s="5" t="s">
        <v>90</v>
      </c>
      <c r="B132" s="23">
        <f>SUM(B128:B131)</f>
        <v>350.3384119782377</v>
      </c>
      <c r="C132" s="19"/>
      <c r="D132" s="19"/>
      <c r="E132" s="19"/>
      <c r="F132" s="19"/>
      <c r="G132" s="19"/>
      <c r="H132" s="13"/>
    </row>
    <row r="133" spans="2:8" ht="14.25">
      <c r="B133" s="3"/>
      <c r="C133" s="3"/>
      <c r="D133" s="3"/>
      <c r="E133" s="3"/>
      <c r="F133" s="3"/>
      <c r="G133" s="3"/>
      <c r="H133" s="3"/>
    </row>
    <row r="134" spans="2:8" ht="14.25">
      <c r="B134" s="3"/>
      <c r="C134" s="3"/>
      <c r="D134" s="3"/>
      <c r="E134" s="3"/>
      <c r="F134" s="3"/>
      <c r="G134" s="3"/>
      <c r="H134" s="3"/>
    </row>
    <row r="135" spans="2:8" ht="14.25">
      <c r="B135" s="3"/>
      <c r="C135" s="3"/>
      <c r="D135" s="3"/>
      <c r="E135" s="3"/>
      <c r="F135" s="3"/>
      <c r="G135" s="3"/>
      <c r="H135" s="3"/>
    </row>
  </sheetData>
  <sheetProtection/>
  <mergeCells count="3">
    <mergeCell ref="C72:G72"/>
    <mergeCell ref="C36:G36"/>
    <mergeCell ref="C50:G5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João Carvalho das Neves</dc:creator>
  <cp:keywords/>
  <dc:description/>
  <cp:lastModifiedBy>João Carvalho das Neves</cp:lastModifiedBy>
  <dcterms:created xsi:type="dcterms:W3CDTF">2020-02-27T19:49:04Z</dcterms:created>
  <dcterms:modified xsi:type="dcterms:W3CDTF">2020-03-04T00:02:23Z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0x0101006DBCEE50967BDA45BD9115280A2AEE39</vt:lpwstr>
  </property>
</Properties>
</file>